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yD\Downloads\"/>
    </mc:Choice>
  </mc:AlternateContent>
  <xr:revisionPtr revIDLastSave="0" documentId="13_ncr:1_{8FD2F750-999C-4F35-A92B-6EE365AC3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dora CUOTAS" sheetId="1" r:id="rId1"/>
  </sheets>
  <definedNames>
    <definedName name="_xlnm._FilterDatabase" localSheetId="0" hidden="1">'Calculadora CUOTAS'!$B$2:$E$7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16" i="1" s="1"/>
  <c r="M17" i="1" s="1"/>
  <c r="M18" i="1" s="1"/>
  <c r="B3" i="1"/>
  <c r="D3" i="1" s="1"/>
  <c r="C7" i="1"/>
  <c r="D7" i="1"/>
  <c r="E7" i="1" s="1"/>
  <c r="M23" i="1" s="1"/>
  <c r="O9" i="1" l="1"/>
  <c r="F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B13" i="1"/>
  <c r="F15" i="1"/>
  <c r="F17" i="1"/>
  <c r="F19" i="1"/>
  <c r="F21" i="1"/>
  <c r="F23" i="1"/>
  <c r="F25" i="1"/>
  <c r="F27" i="1"/>
  <c r="F28" i="1"/>
  <c r="B14" i="1"/>
  <c r="B16" i="1"/>
  <c r="B18" i="1"/>
  <c r="B20" i="1"/>
  <c r="B21" i="1"/>
  <c r="B23" i="1"/>
  <c r="B25" i="1"/>
  <c r="B27" i="1"/>
  <c r="E13" i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F14" i="1"/>
  <c r="F16" i="1"/>
  <c r="F18" i="1"/>
  <c r="F20" i="1"/>
  <c r="F22" i="1"/>
  <c r="F24" i="1"/>
  <c r="F26" i="1"/>
  <c r="C13" i="1"/>
  <c r="B15" i="1"/>
  <c r="B17" i="1"/>
  <c r="B19" i="1"/>
  <c r="B22" i="1"/>
  <c r="B24" i="1"/>
  <c r="B26" i="1"/>
  <c r="B28" i="1"/>
  <c r="C26" i="1"/>
  <c r="C28" i="1"/>
  <c r="O13" i="1" l="1"/>
  <c r="O10" i="1"/>
  <c r="O11" i="1" s="1"/>
  <c r="C10" i="1" l="1"/>
  <c r="M19" i="1" s="1"/>
  <c r="E10" i="1"/>
  <c r="B10" i="1"/>
  <c r="F10" i="1"/>
  <c r="L20" i="1" s="1"/>
  <c r="M3" i="1" l="1"/>
  <c r="J20" i="1" s="1"/>
  <c r="J19" i="1"/>
  <c r="M4" i="1" l="1"/>
  <c r="M20" i="1" l="1"/>
  <c r="M5" i="1"/>
  <c r="M21" i="1" l="1"/>
  <c r="M22" i="1"/>
  <c r="M6" i="1"/>
  <c r="I7" i="1" l="1"/>
  <c r="M25" i="1" s="1"/>
  <c r="M24" i="1"/>
</calcChain>
</file>

<file path=xl/sharedStrings.xml><?xml version="1.0" encoding="utf-8"?>
<sst xmlns="http://schemas.openxmlformats.org/spreadsheetml/2006/main" count="199" uniqueCount="144">
  <si>
    <t>En adelante</t>
  </si>
  <si>
    <t>T3F16</t>
  </si>
  <si>
    <t>T3F15</t>
  </si>
  <si>
    <t>T3F14</t>
  </si>
  <si>
    <t>T3F13</t>
  </si>
  <si>
    <t>T3F12</t>
  </si>
  <si>
    <t>T3F11</t>
  </si>
  <si>
    <t>T3F10</t>
  </si>
  <si>
    <t>T3F9</t>
  </si>
  <si>
    <t>T3F8</t>
  </si>
  <si>
    <t>T3F7</t>
  </si>
  <si>
    <t>T3F6</t>
  </si>
  <si>
    <t>T3F5</t>
  </si>
  <si>
    <t>T3F4</t>
  </si>
  <si>
    <t>T3F3</t>
  </si>
  <si>
    <t>T3F2</t>
  </si>
  <si>
    <t>T3F1</t>
  </si>
  <si>
    <t>T2F16</t>
  </si>
  <si>
    <t>T2F15</t>
  </si>
  <si>
    <t>T2F14</t>
  </si>
  <si>
    <t>T2F13</t>
  </si>
  <si>
    <t>T2F12</t>
  </si>
  <si>
    <t>T2F11</t>
  </si>
  <si>
    <t>T2F10</t>
  </si>
  <si>
    <t>T2F9</t>
  </si>
  <si>
    <t>T2F8</t>
  </si>
  <si>
    <t>T2F7</t>
  </si>
  <si>
    <t>T2F6</t>
  </si>
  <si>
    <t>T2F5</t>
  </si>
  <si>
    <t>T2F4</t>
  </si>
  <si>
    <t>0,09</t>
  </si>
  <si>
    <t>T2F3</t>
  </si>
  <si>
    <t>F16</t>
  </si>
  <si>
    <t>T2F2</t>
  </si>
  <si>
    <t>F15</t>
  </si>
  <si>
    <t>T2F1</t>
  </si>
  <si>
    <t>F14</t>
  </si>
  <si>
    <t>T1F16</t>
  </si>
  <si>
    <t>F13</t>
  </si>
  <si>
    <t>T1F15</t>
  </si>
  <si>
    <t>F12</t>
  </si>
  <si>
    <t>T1F14</t>
  </si>
  <si>
    <t>F11</t>
  </si>
  <si>
    <t>T1F13</t>
  </si>
  <si>
    <t>F10</t>
  </si>
  <si>
    <t>GRUPO IV</t>
  </si>
  <si>
    <t>Otros</t>
  </si>
  <si>
    <t>T1F12</t>
  </si>
  <si>
    <t>F9</t>
  </si>
  <si>
    <t>GRUPO III</t>
  </si>
  <si>
    <t>Sobrino/a político/a</t>
  </si>
  <si>
    <t>T1F11</t>
  </si>
  <si>
    <t>F8</t>
  </si>
  <si>
    <t>Tío/a político/a</t>
  </si>
  <si>
    <t>T1F10</t>
  </si>
  <si>
    <t>F7</t>
  </si>
  <si>
    <t>Cuñado/a</t>
  </si>
  <si>
    <t>T1F9</t>
  </si>
  <si>
    <t>F6</t>
  </si>
  <si>
    <t>Suegro/a
y ascendientes por afinidad</t>
  </si>
  <si>
    <t>T1F8</t>
  </si>
  <si>
    <t>F5</t>
  </si>
  <si>
    <t>Yerno/Nuera
y descendientes por afinidad</t>
  </si>
  <si>
    <t>T1F7</t>
  </si>
  <si>
    <t>F4</t>
  </si>
  <si>
    <t>Tío/a</t>
  </si>
  <si>
    <t>T1F6</t>
  </si>
  <si>
    <t>F3</t>
  </si>
  <si>
    <t>Sobrino/a</t>
  </si>
  <si>
    <t>T1F5</t>
  </si>
  <si>
    <t>F2</t>
  </si>
  <si>
    <t>Hermano/a</t>
  </si>
  <si>
    <t>T1F4</t>
  </si>
  <si>
    <t>F1</t>
  </si>
  <si>
    <t>GRUPO I / II</t>
  </si>
  <si>
    <t>GRUPO II</t>
  </si>
  <si>
    <t>Descendientes directos</t>
  </si>
  <si>
    <t>T1F3</t>
  </si>
  <si>
    <t>Tipo aplicable
Porcentaje</t>
  </si>
  <si>
    <t>Resto base liquidable 
Hasta euros</t>
  </si>
  <si>
    <t>Cuota íntegra
(euros)</t>
  </si>
  <si>
    <t>Base liquidable 
Hasta euros</t>
  </si>
  <si>
    <t>Ascendientes directos</t>
  </si>
  <si>
    <t>T1F2</t>
  </si>
  <si>
    <t>Abuelo/a</t>
  </si>
  <si>
    <t>T1F1</t>
  </si>
  <si>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Introduzca el valor del bien
</t>
    </r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Seleccione el parentesco en el desplegable para consultar el GRUPO para la reducción por parentesco (Art. 6.2 DL 1/2011)
</t>
    </r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Elija el tipo de operación (en caso de DONACIONES, indicar si se formaliza en escritura pública o no)</t>
    </r>
  </si>
  <si>
    <t>Padre/Madre</t>
  </si>
  <si>
    <t>Instrucciones</t>
  </si>
  <si>
    <t>Nieto/a</t>
  </si>
  <si>
    <t>Hijo/a</t>
  </si>
  <si>
    <t>&gt; 4.020.770,98 €</t>
  </si>
  <si>
    <t>CUOTA A INGRESAR</t>
  </si>
  <si>
    <t>Pareja de hecho</t>
  </si>
  <si>
    <t>de 2.007.380,43 €
a 4.020.770,98 €</t>
  </si>
  <si>
    <t>Seguro 
(art. 3.1.c)</t>
  </si>
  <si>
    <t>Aplicamos ahora el coeficiente de parentesco</t>
  </si>
  <si>
    <t>COEFICIENTE</t>
  </si>
  <si>
    <t>GRUPO-Ext</t>
  </si>
  <si>
    <t>GRUPO</t>
  </si>
  <si>
    <t>Parentesco</t>
  </si>
  <si>
    <t>4</t>
  </si>
  <si>
    <t>Cónyuge</t>
  </si>
  <si>
    <t>de 402.678,11 €
a 2.007.380,43 €</t>
  </si>
  <si>
    <t>No</t>
  </si>
  <si>
    <t>Donación 
(art. 3.1.b)</t>
  </si>
  <si>
    <t>3</t>
  </si>
  <si>
    <t>Hijo/a de 21 años o más</t>
  </si>
  <si>
    <t>0 .. 402.678,11 €</t>
  </si>
  <si>
    <t>Sí</t>
  </si>
  <si>
    <t>Herencia 
(art. 3.1.a)</t>
  </si>
  <si>
    <t>Le aplicamos el tipo al resultado obtenido</t>
  </si>
  <si>
    <t>¿En escritura pública?</t>
  </si>
  <si>
    <t>Operación</t>
  </si>
  <si>
    <t>Valor del bien</t>
  </si>
  <si>
    <t>2</t>
  </si>
  <si>
    <t>GRUPO I</t>
  </si>
  <si>
    <t>Hijo/a &lt; 21 años</t>
  </si>
  <si>
    <t>Preex.</t>
  </si>
  <si>
    <t>Escritura</t>
  </si>
  <si>
    <t>Columna</t>
  </si>
  <si>
    <t>Grupo</t>
  </si>
  <si>
    <t>Lista parentesco</t>
  </si>
  <si>
    <t>Tabla coef por parentesco y tramo</t>
  </si>
  <si>
    <t>Cálculo</t>
  </si>
  <si>
    <t>Explicación</t>
  </si>
  <si>
    <t>Patrimonio preexistente</t>
  </si>
  <si>
    <t>Columna AÑO</t>
  </si>
  <si>
    <t>Fecha Devengo</t>
  </si>
  <si>
    <t>Valor real de bens e dereitos</t>
  </si>
  <si>
    <t>VALOR NETO (01 - 03 - 07 - 08)</t>
  </si>
  <si>
    <t>BASE IMPOÑIBLE (11)</t>
  </si>
  <si>
    <t>BASE LIQUIDABLE (23 - 24)</t>
  </si>
  <si>
    <t>Ata</t>
  </si>
  <si>
    <t>Resto</t>
  </si>
  <si>
    <t>ao</t>
  </si>
  <si>
    <t>Restamos al valor del bien 
la base liquidable inicial del tramo correspondiente</t>
  </si>
  <si>
    <t>Sumamos el resultado 
a la cuota íntegra inicial del tramo correspondiente</t>
  </si>
  <si>
    <t>COTA ÍNTEGRA</t>
  </si>
  <si>
    <t>Coeficiente</t>
  </si>
  <si>
    <t>Cota tributaria (30 x 31)</t>
  </si>
  <si>
    <t>TOTAL A INGRESAR (34 - 35 - 36 - 37)</t>
  </si>
  <si>
    <t xml:space="preserve">                                                                                          SUMA (30)         </t>
  </si>
  <si>
    <t>Ayuda para cubrir el Modelo 651 (si no hubiese reducciones/deducciones)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</si>
</sst>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.00\ _€"/>
    <numFmt numFmtId="165" formatCode="#,##0.00\ &quot;€&quot;"/>
    <numFmt numFmtId="166" formatCode="00"/>
  </numFmts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NumberFormat="1" applyFill="1" applyAlignment="1" applyProtection="1">
      <alignment horizontal="center" vertical="center" wrapText="1"/>
    </xf>
    <xf numFmtId="10" fontId="0" fillId="2" borderId="0" xfId="0" applyNumberFormat="1" applyFill="1" applyAlignment="1" applyProtection="1">
      <alignment horizontal="center" vertical="center" wrapText="1"/>
    </xf>
    <xf numFmtId="164" fontId="0" fillId="2" borderId="0" xfId="0" applyNumberFormat="1" applyFill="1" applyAlignment="1" applyProtection="1">
      <alignment horizontal="center" vertical="center" wrapText="1"/>
    </xf>
    <xf numFmtId="164" fontId="0" fillId="2" borderId="0" xfId="0" applyNumberFormat="1" applyFill="1" applyAlignment="1" applyProtection="1">
      <alignment horizontal="center" vertical="center" wrapText="1"/>
      <protection hidden="1"/>
    </xf>
    <xf numFmtId="0" fontId="0" fillId="2" borderId="0" xfId="0" applyNumberFormat="1" applyFill="1" applyAlignment="1" applyProtection="1">
      <alignment horizontal="center" vertical="center" wrapText="1"/>
      <protection hidden="1"/>
    </xf>
    <xf numFmtId="0" fontId="0" fillId="3" borderId="0" xfId="0" applyNumberFormat="1" applyFill="1" applyAlignment="1" applyProtection="1">
      <alignment horizontal="center" vertical="center" wrapText="1"/>
    </xf>
    <xf numFmtId="10" fontId="0" fillId="3" borderId="0" xfId="0" applyNumberFormat="1" applyFill="1" applyAlignment="1" applyProtection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 wrapText="1"/>
      <protection hidden="1"/>
    </xf>
    <xf numFmtId="49" fontId="0" fillId="3" borderId="0" xfId="0" applyNumberFormat="1" applyFill="1" applyAlignment="1" applyProtection="1">
      <alignment horizontal="center" vertical="center" wrapText="1"/>
    </xf>
    <xf numFmtId="6" fontId="0" fillId="2" borderId="0" xfId="0" applyNumberFormat="1" applyFill="1" applyAlignment="1" applyProtection="1">
      <alignment horizontal="center" vertical="center" wrapText="1"/>
    </xf>
    <xf numFmtId="49" fontId="0" fillId="2" borderId="0" xfId="0" applyNumberFormat="1" applyFill="1" applyAlignment="1" applyProtection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 applyProtection="1">
      <alignment horizontal="center" vertical="center" wrapText="1"/>
    </xf>
    <xf numFmtId="0" fontId="1" fillId="4" borderId="0" xfId="0" applyNumberFormat="1" applyFont="1" applyFill="1" applyAlignment="1" applyProtection="1">
      <alignment horizontal="center" vertical="center" wrapText="1"/>
    </xf>
    <xf numFmtId="9" fontId="0" fillId="2" borderId="0" xfId="0" applyNumberFormat="1" applyFill="1" applyAlignment="1" applyProtection="1">
      <alignment horizontal="center" vertical="center" wrapText="1"/>
    </xf>
    <xf numFmtId="10" fontId="4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ill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6" fillId="9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hidden="1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1" fillId="8" borderId="2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6" borderId="0" xfId="0" applyNumberFormat="1" applyFont="1" applyFill="1" applyAlignment="1" applyProtection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6" fontId="0" fillId="2" borderId="0" xfId="0" applyNumberFormat="1" applyFill="1" applyAlignment="1" applyProtection="1">
      <alignment horizontal="center" vertical="center" wrapText="1"/>
    </xf>
    <xf numFmtId="0" fontId="1" fillId="8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9" borderId="5" xfId="0" applyNumberFormat="1" applyFill="1" applyBorder="1" applyAlignment="1" applyProtection="1">
      <alignment horizontal="center" vertical="center" wrapText="1"/>
    </xf>
    <xf numFmtId="165" fontId="0" fillId="9" borderId="6" xfId="0" applyNumberFormat="1" applyFill="1" applyBorder="1" applyAlignment="1" applyProtection="1">
      <alignment horizontal="center" vertical="center" wrapText="1"/>
    </xf>
    <xf numFmtId="0" fontId="1" fillId="8" borderId="7" xfId="0" applyNumberFormat="1" applyFont="1" applyFill="1" applyBorder="1" applyAlignment="1" applyProtection="1">
      <alignment horizontal="center" vertic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165" fontId="5" fillId="2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66" fontId="0" fillId="2" borderId="1" xfId="0" applyNumberFormat="1" applyFill="1" applyBorder="1" applyAlignment="1" applyProtection="1">
      <alignment horizontal="center" vertical="center" wrapText="1"/>
    </xf>
    <xf numFmtId="0" fontId="0" fillId="9" borderId="0" xfId="0" applyNumberFormat="1" applyFill="1" applyAlignment="1" applyProtection="1">
      <alignment horizontal="right" vertical="center" wrapText="1"/>
    </xf>
    <xf numFmtId="166" fontId="0" fillId="9" borderId="0" xfId="0" applyNumberFormat="1" applyFill="1" applyAlignment="1" applyProtection="1">
      <alignment horizontal="center" vertical="center" wrapText="1"/>
    </xf>
    <xf numFmtId="0" fontId="0" fillId="9" borderId="0" xfId="0" applyNumberFormat="1" applyFill="1" applyAlignment="1" applyProtection="1">
      <alignment horizontal="center" vertical="center" wrapText="1"/>
    </xf>
    <xf numFmtId="165" fontId="0" fillId="9" borderId="0" xfId="0" applyNumberFormat="1" applyFill="1" applyAlignment="1" applyProtection="1">
      <alignment horizontal="right" vertical="center" wrapText="1"/>
    </xf>
    <xf numFmtId="0" fontId="0" fillId="9" borderId="1" xfId="0" applyNumberFormat="1" applyFill="1" applyBorder="1" applyAlignment="1" applyProtection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165" fontId="0" fillId="2" borderId="1" xfId="0" applyNumberFormat="1" applyFill="1" applyBorder="1" applyAlignment="1" applyProtection="1">
      <alignment horizontal="right" vertical="center" wrapText="1"/>
    </xf>
    <xf numFmtId="0" fontId="0" fillId="2" borderId="1" xfId="0" applyNumberFormat="1" applyFill="1" applyBorder="1" applyAlignment="1" applyProtection="1">
      <alignment horizontal="right" vertical="center" wrapText="1"/>
    </xf>
    <xf numFmtId="0" fontId="7" fillId="9" borderId="0" xfId="0" applyNumberFormat="1" applyFont="1" applyFill="1" applyAlignment="1" applyProtection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7" fillId="9" borderId="1" xfId="0" applyNumberFormat="1" applyFont="1" applyFill="1" applyBorder="1" applyAlignment="1" applyProtection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" fillId="8" borderId="0" xfId="0" applyNumberFormat="1" applyFont="1" applyFill="1" applyAlignment="1" applyProtection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10" fontId="0" fillId="9" borderId="0" xfId="0" applyNumberFormat="1" applyFill="1" applyAlignment="1" applyProtection="1">
      <alignment horizontal="left" vertical="center" wrapText="1"/>
    </xf>
  </cellXfs>
  <cellStyles count="1">
    <cellStyle name="Normal" xfId="0" builtinId="0"/>
  </cellStyles>
  <dxfs count="13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theme="5" tint="-0.499984740745262"/>
      </font>
      <fill>
        <patternFill>
          <bgColor theme="0"/>
        </patternFill>
      </fill>
    </dxf>
    <dxf>
      <font>
        <b/>
        <i val="0"/>
        <color theme="8" tint="-0.499984740745262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57"/>
  <sheetViews>
    <sheetView tabSelected="1" workbookViewId="0">
      <selection activeCell="C5" sqref="C5"/>
    </sheetView>
  </sheetViews>
  <sheetFormatPr baseColWidth="10" defaultRowHeight="18.75" customHeight="1" x14ac:dyDescent="0.25"/>
  <cols>
    <col min="1" max="1" width="3.5703125" style="1" customWidth="1"/>
    <col min="2" max="2" width="41.5703125" style="1" customWidth="1"/>
    <col min="3" max="3" width="22.85546875" style="1" customWidth="1"/>
    <col min="4" max="4" width="22.42578125" style="1" hidden="1" customWidth="1"/>
    <col min="5" max="5" width="25.7109375" style="1" customWidth="1"/>
    <col min="6" max="6" width="17.140625" style="1" customWidth="1"/>
    <col min="7" max="8" width="3.5703125" style="1" customWidth="1"/>
    <col min="9" max="9" width="27.140625" style="1" customWidth="1"/>
    <col min="10" max="10" width="17.85546875" style="1" customWidth="1"/>
    <col min="11" max="11" width="5" style="35" customWidth="1"/>
    <col min="12" max="12" width="10" style="1" customWidth="1"/>
    <col min="13" max="13" width="17.85546875" style="1" customWidth="1"/>
    <col min="14" max="14" width="3.5703125" style="1" customWidth="1"/>
    <col min="15" max="15" width="27.7109375" style="1" hidden="1" customWidth="1"/>
    <col min="16" max="16" width="11.42578125" style="1" hidden="1" customWidth="1"/>
    <col min="17" max="17" width="26.42578125" style="1" hidden="1" customWidth="1"/>
    <col min="18" max="19" width="11.42578125" style="1" hidden="1" customWidth="1"/>
    <col min="20" max="20" width="17.140625" style="1" hidden="1" customWidth="1"/>
    <col min="21" max="21" width="12.85546875" style="1" hidden="1" customWidth="1"/>
    <col min="22" max="22" width="19.7109375" style="1" hidden="1" customWidth="1"/>
    <col min="23" max="23" width="22.28515625" style="1" hidden="1" customWidth="1"/>
    <col min="24" max="27" width="17.140625" style="1" hidden="1" customWidth="1"/>
    <col min="28" max="28" width="17.140625" style="1" customWidth="1"/>
    <col min="29" max="29" width="11.42578125" style="1" customWidth="1"/>
    <col min="30" max="16384" width="11.42578125" style="1"/>
  </cols>
  <sheetData>
    <row r="2" spans="2:28" ht="18.75" customHeight="1" x14ac:dyDescent="0.25">
      <c r="B2" s="24" t="s">
        <v>128</v>
      </c>
      <c r="D2" s="24" t="s">
        <v>127</v>
      </c>
      <c r="E2" s="24" t="s">
        <v>126</v>
      </c>
      <c r="I2" s="36" t="s">
        <v>125</v>
      </c>
      <c r="J2" s="37"/>
      <c r="K2" s="37"/>
      <c r="L2" s="38"/>
      <c r="M2" s="30" t="s">
        <v>124</v>
      </c>
      <c r="Q2" s="31" t="s">
        <v>123</v>
      </c>
      <c r="R2" s="32"/>
      <c r="S2" s="32"/>
      <c r="T2" s="32"/>
      <c r="W2" s="5" t="s">
        <v>122</v>
      </c>
      <c r="X2" s="5" t="s">
        <v>121</v>
      </c>
      <c r="Y2" s="5" t="s">
        <v>121</v>
      </c>
      <c r="AA2" s="12" t="s">
        <v>120</v>
      </c>
      <c r="AB2" s="12"/>
    </row>
    <row r="3" spans="2:28" ht="37.5" customHeight="1" x14ac:dyDescent="0.25">
      <c r="B3" s="28">
        <f ca="1">TODAY()</f>
        <v>44527</v>
      </c>
      <c r="D3" s="1">
        <f ca="1">IF(ISBLANK(B3),"",IF(DATE(YEAR(B3),MONTH(B3),DAY(B3))&gt;DATE(YEAR(T28),MONTH(T28),DAY(T28)),2,IF(DATE(YEAR(B3),MONTH(B3),DAY(B3))&gt;DATE(YEAR(U28),MONTH(U28),DAY(U28)),3,IF(DATE(YEAR(B3),MONTH(B3),DAY(B3))&gt;DATE(YEAR(#REF!),MONTH(#REF!),DAY(#REF!)),4,IF(DATE(YEAR(B3),MONTH(B3),DAY(B3))&gt;DATE(YEAR(#REF!),MONTH(#REF!),DAY(#REF!)),5,IF(DATE(YEAR(B3),MONTH(B3),DAY(B3))&gt;DATE(YEAR(#REF!),MONTH(#REF!),DAY(#REF!)),6,IF(DATE(YEAR(B3),MONTH(B3),DAY(B3))&gt;DATE(YEAR(#REF!),MONTH(#REF!),DAY(#REF!)),7,IF(DATE(YEAR(B3),MONTH(B3),DAY(B3))&gt;DATE(YEAR(#REF!),MONTH(#REF!),DAY(#REF!)),8,9))))))))</f>
        <v>2</v>
      </c>
      <c r="E3" s="27" t="s">
        <v>108</v>
      </c>
      <c r="I3" s="42" t="s">
        <v>136</v>
      </c>
      <c r="J3" s="32"/>
      <c r="K3" s="32"/>
      <c r="L3" s="32"/>
      <c r="M3" s="39">
        <f>B5-B10</f>
        <v>7069.2799999999988</v>
      </c>
      <c r="O3" s="1" t="s">
        <v>113</v>
      </c>
      <c r="P3" s="1" t="s">
        <v>119</v>
      </c>
      <c r="Q3" s="21" t="s">
        <v>118</v>
      </c>
      <c r="R3" s="26" t="s">
        <v>74</v>
      </c>
      <c r="S3" s="26" t="s">
        <v>49</v>
      </c>
      <c r="T3" s="26" t="s">
        <v>45</v>
      </c>
      <c r="W3" s="5" t="s">
        <v>117</v>
      </c>
      <c r="X3" s="5" t="s">
        <v>116</v>
      </c>
      <c r="Y3" s="5" t="s">
        <v>74</v>
      </c>
      <c r="Z3" s="5" t="s">
        <v>74</v>
      </c>
      <c r="AA3" s="12" t="s">
        <v>115</v>
      </c>
      <c r="AB3" s="12"/>
    </row>
    <row r="4" spans="2:28" ht="18.75" customHeight="1" x14ac:dyDescent="0.25">
      <c r="B4" s="24" t="s">
        <v>114</v>
      </c>
      <c r="C4" s="24" t="s">
        <v>113</v>
      </c>
      <c r="E4" s="24" t="s">
        <v>112</v>
      </c>
      <c r="I4" s="43" t="s">
        <v>111</v>
      </c>
      <c r="J4" s="32"/>
      <c r="K4" s="32"/>
      <c r="L4" s="32"/>
      <c r="M4" s="39">
        <f>M3*F10</f>
        <v>901.33319999999992</v>
      </c>
      <c r="O4" s="1" t="s">
        <v>110</v>
      </c>
      <c r="P4" s="1" t="s">
        <v>109</v>
      </c>
      <c r="Q4" s="21" t="s">
        <v>108</v>
      </c>
      <c r="R4" s="21">
        <v>1</v>
      </c>
      <c r="S4" s="21">
        <v>1.5882000000000001</v>
      </c>
      <c r="T4" s="21">
        <v>2</v>
      </c>
      <c r="W4" s="5" t="s">
        <v>107</v>
      </c>
      <c r="X4" s="5" t="s">
        <v>75</v>
      </c>
      <c r="Y4" s="5" t="s">
        <v>74</v>
      </c>
      <c r="Z4" s="5" t="s">
        <v>49</v>
      </c>
      <c r="AA4" s="12" t="s">
        <v>106</v>
      </c>
      <c r="AB4" s="12"/>
    </row>
    <row r="5" spans="2:28" ht="37.5" customHeight="1" x14ac:dyDescent="0.25">
      <c r="B5" s="25">
        <v>55000</v>
      </c>
      <c r="C5" s="25" t="s">
        <v>105</v>
      </c>
      <c r="E5" s="25" t="s">
        <v>104</v>
      </c>
      <c r="I5" s="43" t="s">
        <v>137</v>
      </c>
      <c r="J5" s="32"/>
      <c r="K5" s="32"/>
      <c r="L5" s="32"/>
      <c r="M5" s="39">
        <f>C10+M4</f>
        <v>5586.4332000000004</v>
      </c>
      <c r="O5" s="1" t="s">
        <v>105</v>
      </c>
      <c r="P5" s="1" t="s">
        <v>104</v>
      </c>
      <c r="Q5" s="21" t="s">
        <v>103</v>
      </c>
      <c r="R5" s="21">
        <v>1</v>
      </c>
      <c r="S5" s="21">
        <v>1.6676</v>
      </c>
      <c r="T5" s="21">
        <v>2.1</v>
      </c>
      <c r="W5" s="5" t="s">
        <v>102</v>
      </c>
      <c r="X5" s="5" t="s">
        <v>75</v>
      </c>
      <c r="Y5" s="5" t="s">
        <v>74</v>
      </c>
      <c r="Z5" s="5" t="s">
        <v>45</v>
      </c>
      <c r="AA5" s="12" t="s">
        <v>101</v>
      </c>
      <c r="AB5" s="12"/>
    </row>
    <row r="6" spans="2:28" ht="18.75" customHeight="1" thickBot="1" x14ac:dyDescent="0.3">
      <c r="B6" s="24" t="s">
        <v>100</v>
      </c>
      <c r="C6" s="24" t="s">
        <v>99</v>
      </c>
      <c r="D6" s="24" t="s">
        <v>98</v>
      </c>
      <c r="E6" s="24" t="s">
        <v>97</v>
      </c>
      <c r="I6" s="43" t="s">
        <v>96</v>
      </c>
      <c r="J6" s="32"/>
      <c r="K6" s="32"/>
      <c r="L6" s="32"/>
      <c r="M6" s="40">
        <f>IF(B7="","",M5*E7)</f>
        <v>8872.3732082400002</v>
      </c>
      <c r="O6" s="1" t="s">
        <v>95</v>
      </c>
      <c r="Q6" s="21" t="s">
        <v>94</v>
      </c>
      <c r="R6" s="21">
        <v>1</v>
      </c>
      <c r="S6" s="21">
        <v>1.7471000000000001</v>
      </c>
      <c r="T6" s="21">
        <v>2.2000000000000002</v>
      </c>
      <c r="W6" s="5" t="s">
        <v>93</v>
      </c>
      <c r="X6" s="5" t="s">
        <v>75</v>
      </c>
      <c r="Y6" s="5" t="s">
        <v>74</v>
      </c>
      <c r="AA6" s="12"/>
      <c r="AB6" s="12"/>
    </row>
    <row r="7" spans="2:28" ht="37.5" customHeight="1" thickBot="1" x14ac:dyDescent="0.3">
      <c r="B7" s="23" t="s">
        <v>71</v>
      </c>
      <c r="C7" s="22" t="str">
        <f>IF(B7="","",VLOOKUP(B7,W3:X21,2,0))</f>
        <v>GRUPO III</v>
      </c>
      <c r="D7" s="22" t="str">
        <f>IF(B7="","",VLOOKUP(B7,W3:Y21,3,0))</f>
        <v>GRUPO III</v>
      </c>
      <c r="E7" s="22">
        <f>IF(B7="","",VLOOKUP(E3,Q4:T7,VLOOKUP(D7,Z3:AA5,2,0),0))</f>
        <v>1.5882000000000001</v>
      </c>
      <c r="I7" s="44">
        <f>M6</f>
        <v>8872.3732082400002</v>
      </c>
      <c r="J7" s="32"/>
      <c r="K7" s="32"/>
      <c r="L7" s="32"/>
      <c r="M7" s="41" t="s">
        <v>92</v>
      </c>
      <c r="Q7" s="21" t="s">
        <v>91</v>
      </c>
      <c r="R7" s="21">
        <v>1</v>
      </c>
      <c r="S7" s="21">
        <v>1.9058999999999999</v>
      </c>
      <c r="T7" s="21">
        <v>2.4</v>
      </c>
      <c r="W7" s="5" t="s">
        <v>90</v>
      </c>
      <c r="X7" s="5" t="s">
        <v>75</v>
      </c>
      <c r="Y7" s="5" t="s">
        <v>74</v>
      </c>
      <c r="AA7" s="12"/>
      <c r="AB7" s="12"/>
    </row>
    <row r="8" spans="2:28" ht="18.75" customHeight="1" x14ac:dyDescent="0.25">
      <c r="I8" s="20"/>
      <c r="W8" s="5" t="s">
        <v>89</v>
      </c>
      <c r="X8" s="5" t="s">
        <v>75</v>
      </c>
      <c r="Y8" s="5" t="s">
        <v>74</v>
      </c>
      <c r="AA8" s="12"/>
      <c r="AB8" s="12"/>
    </row>
    <row r="9" spans="2:28" ht="37.5" customHeight="1" x14ac:dyDescent="0.25">
      <c r="B9" s="19" t="s">
        <v>81</v>
      </c>
      <c r="C9" s="19" t="s">
        <v>80</v>
      </c>
      <c r="E9" s="19" t="s">
        <v>79</v>
      </c>
      <c r="F9" s="19" t="s">
        <v>78</v>
      </c>
      <c r="I9" s="33" t="s">
        <v>88</v>
      </c>
      <c r="J9" s="34"/>
      <c r="K9" s="37"/>
      <c r="L9" s="37"/>
      <c r="M9" s="37"/>
      <c r="O9" s="1" t="str">
        <f>IF(AND(D7="GRUPO I / II",C5=O5,E5="Sí"),"T2",IF(AND(D7="GRUPO I / II",OR(C5=O4,C5=O6,AND(C5=O5,E5="No"))),"T1","T3"))</f>
        <v>T3</v>
      </c>
      <c r="Q9" s="15" t="s">
        <v>81</v>
      </c>
      <c r="R9" s="15" t="s">
        <v>80</v>
      </c>
      <c r="S9" s="15" t="s">
        <v>79</v>
      </c>
      <c r="T9" s="15" t="s">
        <v>78</v>
      </c>
      <c r="W9" s="5" t="s">
        <v>87</v>
      </c>
      <c r="X9" s="5" t="s">
        <v>75</v>
      </c>
      <c r="Y9" s="5" t="s">
        <v>74</v>
      </c>
      <c r="AA9" s="12"/>
      <c r="AB9" s="12"/>
    </row>
    <row r="10" spans="2:28" ht="18.75" customHeight="1" x14ac:dyDescent="0.25">
      <c r="B10" s="18">
        <f>IF($O$11="","",VLOOKUP($O$11,$P$10:$U$57,2,0))</f>
        <v>47930.720000000001</v>
      </c>
      <c r="C10" s="18">
        <f>IF($O$11="","",VLOOKUP($O$11,$P$10:$U$57,3,0))</f>
        <v>4685.1000000000004</v>
      </c>
      <c r="D10" s="3"/>
      <c r="E10" s="18">
        <f>IF($O$11="","",VLOOKUP($O$11,$P$10:$U$57,4,0))</f>
        <v>7987.45</v>
      </c>
      <c r="F10" s="17">
        <f>IF($O$11="","",VLOOKUP($O$11,$P$10:$U$57,5,0))</f>
        <v>0.1275</v>
      </c>
      <c r="I10" s="45" t="s">
        <v>86</v>
      </c>
      <c r="J10" s="46"/>
      <c r="K10" s="46"/>
      <c r="L10" s="46"/>
      <c r="M10" s="46"/>
      <c r="O10" s="1" t="str">
        <f>IF(B5&lt;B14,"F1",IF(B5&lt;B15,"F2",IF(B5&lt;B16,"F3",IF(B5&lt;B17,"F4",IF(B5&lt;B18,"F5",IF(B5&lt;B19,"F6",IF(B5&lt;B20,"F7",IF(B5&lt;B21,"F8",IF(B5&lt;B22,"F9",IF(B5&lt;B23,"F10",IF(B5&lt;B24,"F11",IF(B5&lt;B25,"F12",IF(B5&lt;B26,"F13",IF(B5&lt;B27,"F14",IF(B5&lt;B28,"F15","F16")))))))))))))))</f>
        <v>F7</v>
      </c>
      <c r="P10" s="1" t="s">
        <v>85</v>
      </c>
      <c r="Q10" s="3">
        <v>0</v>
      </c>
      <c r="R10" s="3">
        <v>0</v>
      </c>
      <c r="S10" s="3">
        <v>50000</v>
      </c>
      <c r="T10" s="2">
        <v>0.05</v>
      </c>
      <c r="U10" s="1">
        <v>0.05</v>
      </c>
      <c r="W10" s="5" t="s">
        <v>84</v>
      </c>
      <c r="X10" s="5" t="s">
        <v>75</v>
      </c>
      <c r="Y10" s="5" t="s">
        <v>74</v>
      </c>
      <c r="AA10" s="12"/>
      <c r="AB10" s="12"/>
    </row>
    <row r="11" spans="2:28" ht="18.75" customHeight="1" x14ac:dyDescent="0.25">
      <c r="E11" s="14"/>
      <c r="F11" s="16"/>
      <c r="I11" s="46"/>
      <c r="J11" s="46"/>
      <c r="K11" s="46"/>
      <c r="L11" s="46"/>
      <c r="M11" s="46"/>
      <c r="O11" s="1" t="str">
        <f>CONCATENATE(O9,O10)</f>
        <v>T3F7</v>
      </c>
      <c r="P11" s="1" t="s">
        <v>83</v>
      </c>
      <c r="Q11" s="3">
        <v>50000</v>
      </c>
      <c r="R11" s="3">
        <v>2500</v>
      </c>
      <c r="S11" s="3">
        <v>75000</v>
      </c>
      <c r="T11" s="2">
        <v>7.0000000000000007E-2</v>
      </c>
      <c r="U11" s="1">
        <v>7.0000000000000007E-2</v>
      </c>
      <c r="W11" s="5" t="s">
        <v>82</v>
      </c>
      <c r="X11" s="5" t="s">
        <v>75</v>
      </c>
      <c r="Y11" s="5" t="s">
        <v>74</v>
      </c>
      <c r="AA11" s="12"/>
      <c r="AB11" s="12"/>
    </row>
    <row r="12" spans="2:28" ht="37.5" customHeight="1" x14ac:dyDescent="0.25">
      <c r="B12" s="15" t="s">
        <v>81</v>
      </c>
      <c r="C12" s="15" t="s">
        <v>80</v>
      </c>
      <c r="E12" s="15" t="s">
        <v>79</v>
      </c>
      <c r="F12" s="15" t="s">
        <v>78</v>
      </c>
      <c r="I12" s="46"/>
      <c r="J12" s="46"/>
      <c r="K12" s="46"/>
      <c r="L12" s="46"/>
      <c r="M12" s="46"/>
      <c r="P12" s="14" t="s">
        <v>77</v>
      </c>
      <c r="Q12" s="3">
        <v>125000</v>
      </c>
      <c r="R12" s="3">
        <v>7750</v>
      </c>
      <c r="S12" s="3">
        <v>175000</v>
      </c>
      <c r="T12" s="2">
        <v>0.09</v>
      </c>
      <c r="U12" s="1">
        <v>0.09</v>
      </c>
      <c r="W12" s="5" t="s">
        <v>76</v>
      </c>
      <c r="X12" s="5" t="s">
        <v>75</v>
      </c>
      <c r="Y12" s="5" t="s">
        <v>74</v>
      </c>
      <c r="AA12" s="12"/>
      <c r="AB12" s="12"/>
    </row>
    <row r="13" spans="2:28" ht="18.75" customHeight="1" x14ac:dyDescent="0.25">
      <c r="B13" s="8">
        <f>IF($O$9="","",IF(ISBLANK(VLOOKUP(CONCATENATE($O$9,"F1"),$P$10:$U$57,2,0)),"",VLOOKUP(CONCATENATE($O$9,"F1"),$P$10:$U$57,2,0)))</f>
        <v>0</v>
      </c>
      <c r="C13" s="8">
        <f>IF($O$9="","",IF(ISBLANK(VLOOKUP(CONCATENATE($O$9,"F1"),$P$10:$U$57,2,0)),"",VLOOKUP(CONCATENATE($O$9,"F1"),$P$10:$U$57,3,0)))</f>
        <v>0</v>
      </c>
      <c r="D13" s="3" t="s">
        <v>73</v>
      </c>
      <c r="E13" s="8">
        <f>IF($O$9="","",IF(ISBLANK(VLOOKUP(CONCATENATE($O$9,"F1"),$P$10:$U$57,2,0)),"",VLOOKUP(CONCATENATE($O$9,"F1"),$P$10:$U$57,4,0)))</f>
        <v>7993.46</v>
      </c>
      <c r="F13" s="7">
        <f>IF($O$9="","",IF(ISBLANK(VLOOKUP(CONCATENATE($O$9,"F1"),$P$10:$U$57,2,0)),"",VLOOKUP(CONCATENATE($O$9,"F1"),$P$10:$U$57,5,0)))</f>
        <v>7.6499999999999999E-2</v>
      </c>
      <c r="I13" s="13"/>
      <c r="J13" s="13"/>
      <c r="O13" s="1" t="b">
        <f>IF(B5&lt;B14,"F1",IF(B5&lt;B15,"F2",IF(B5&lt;B16,"F3")))</f>
        <v>0</v>
      </c>
      <c r="P13" s="1" t="s">
        <v>72</v>
      </c>
      <c r="Q13" s="3">
        <v>300000</v>
      </c>
      <c r="R13" s="3">
        <v>23500</v>
      </c>
      <c r="S13" s="3">
        <v>500000</v>
      </c>
      <c r="T13" s="2">
        <v>0.11</v>
      </c>
      <c r="U13" s="1">
        <v>0.11</v>
      </c>
      <c r="W13" s="5" t="s">
        <v>71</v>
      </c>
      <c r="X13" s="5" t="s">
        <v>49</v>
      </c>
      <c r="Y13" s="5" t="s">
        <v>49</v>
      </c>
    </row>
    <row r="14" spans="2:28" ht="18.75" customHeight="1" x14ac:dyDescent="0.25">
      <c r="B14" s="8">
        <f>IF($O$9="","",IF(ISBLANK(VLOOKUP(CONCATENATE($O$9,"F2"),$P$10:$U$57,2,0)),"",VLOOKUP(CONCATENATE($O$9,"F2"),$P$10:$U$57,2,0)))</f>
        <v>7993.46</v>
      </c>
      <c r="C14" s="8">
        <f>IF($O$9="","",IF(ISBLANK(VLOOKUP(CONCATENATE($O$9,"F2"),$P$10:$U$57,2,0)),"",VLOOKUP(CONCATENATE($O$9,"F2"),$P$10:$U$57,3,0)))</f>
        <v>611.5</v>
      </c>
      <c r="D14" s="3" t="s">
        <v>70</v>
      </c>
      <c r="E14" s="8">
        <f>IF($O$9="","",IF(ISBLANK(VLOOKUP(CONCATENATE($O$9,"F2"),$P$10:$U$57,2,0)),"",VLOOKUP(CONCATENATE($O$9,"F2"),$P$10:$U$57,4,0)))</f>
        <v>7987.45</v>
      </c>
      <c r="F14" s="7">
        <f>IF($O$9="","",IF(ISBLANK(VLOOKUP(CONCATENATE($O$9,"F2"),$P$10:$U$57,2,0)),"",VLOOKUP(CONCATENATE($O$9,"F2"),$P$10:$U$57,5,0)))</f>
        <v>8.5000000000000006E-2</v>
      </c>
      <c r="I14" s="60" t="s">
        <v>143</v>
      </c>
      <c r="J14" s="61"/>
      <c r="K14" s="62"/>
      <c r="L14" s="62"/>
      <c r="M14" s="62"/>
      <c r="P14" s="1" t="s">
        <v>69</v>
      </c>
      <c r="Q14" s="3">
        <v>800000</v>
      </c>
      <c r="R14" s="3">
        <v>78500</v>
      </c>
      <c r="S14" s="3">
        <v>800000</v>
      </c>
      <c r="T14" s="2">
        <v>0.15</v>
      </c>
      <c r="U14" s="1">
        <v>0.15</v>
      </c>
      <c r="W14" s="5" t="s">
        <v>68</v>
      </c>
      <c r="X14" s="5" t="s">
        <v>49</v>
      </c>
      <c r="Y14" s="5" t="s">
        <v>49</v>
      </c>
    </row>
    <row r="15" spans="2:28" ht="18.75" customHeight="1" x14ac:dyDescent="0.25">
      <c r="B15" s="8">
        <f>IF($O$9="","",IF(ISBLANK(VLOOKUP(CONCATENATE($O$9,"F3"),$P$10:$U$57,2,0)),"",VLOOKUP(CONCATENATE($O$9,"F3"),$P$10:$U$57,2,0)))</f>
        <v>15980.91</v>
      </c>
      <c r="C15" s="8">
        <f>IF($O$9="","",IF(ISBLANK(VLOOKUP(CONCATENATE($O$9,"F3"),$P$10:$U$57,2,0)),"",VLOOKUP(CONCATENATE($O$9,"F3"),$P$10:$U$57,3,0)))</f>
        <v>1290.43</v>
      </c>
      <c r="D15" s="3" t="s">
        <v>67</v>
      </c>
      <c r="E15" s="8">
        <f>IF($O$9="","",IF(ISBLANK(VLOOKUP(CONCATENATE($O$9,"F3"),$P$10:$U$57,2,0)),"",VLOOKUP(CONCATENATE($O$9,"F3"),$P$10:$U$57,4,0)))</f>
        <v>7987.45</v>
      </c>
      <c r="F15" s="7">
        <f>IF($O$9="","",IF(ISBLANK(VLOOKUP(CONCATENATE($O$9,"F3"),$P$10:$U$57,2,0)),"",VLOOKUP(CONCATENATE($O$9,"F3"),$P$10:$U$57,5,0)))</f>
        <v>9.35E-2</v>
      </c>
      <c r="H15" s="47">
        <v>1</v>
      </c>
      <c r="I15" s="52" t="s">
        <v>129</v>
      </c>
      <c r="J15" s="53"/>
      <c r="K15" s="53"/>
      <c r="L15" s="53"/>
      <c r="M15" s="54">
        <f>B5</f>
        <v>55000</v>
      </c>
      <c r="P15" s="1" t="s">
        <v>66</v>
      </c>
      <c r="Q15" s="3">
        <v>1600000</v>
      </c>
      <c r="R15" s="3">
        <v>198500</v>
      </c>
      <c r="S15" s="3" t="s">
        <v>0</v>
      </c>
      <c r="T15" s="2">
        <v>0.18</v>
      </c>
      <c r="U15" s="1">
        <v>0.18</v>
      </c>
      <c r="W15" s="5" t="s">
        <v>65</v>
      </c>
      <c r="X15" s="5" t="s">
        <v>49</v>
      </c>
      <c r="Y15" s="5" t="s">
        <v>49</v>
      </c>
    </row>
    <row r="16" spans="2:28" ht="18.75" customHeight="1" x14ac:dyDescent="0.25">
      <c r="B16" s="8">
        <f>IF($O$9="","",IF(ISBLANK(VLOOKUP(CONCATENATE($O$9,"F4"),$P$10:$U$57,2,0)),"",VLOOKUP(CONCATENATE($O$9,"F4"),$P$10:$U$57,2,0)))</f>
        <v>23968.36</v>
      </c>
      <c r="C16" s="8">
        <f>IF($O$9="","",IF(ISBLANK(VLOOKUP(CONCATENATE($O$9,"F4"),$P$10:$U$57,2,0)),"",VLOOKUP(CONCATENATE($O$9,"F4"),$P$10:$U$57,3,0)))</f>
        <v>2037.26</v>
      </c>
      <c r="D16" s="3" t="s">
        <v>64</v>
      </c>
      <c r="E16" s="8">
        <f>IF($O$9="","",IF(ISBLANK(VLOOKUP(CONCATENATE($O$9,"F4"),$P$10:$U$57,2,0)),"",VLOOKUP(CONCATENATE($O$9,"F4"),$P$10:$U$57,4,0)))</f>
        <v>7987.45</v>
      </c>
      <c r="F16" s="7">
        <f>IF($O$9="","",IF(ISBLANK(VLOOKUP(CONCATENATE($O$9,"F4"),$P$10:$U$57,2,0)),"",VLOOKUP(CONCATENATE($O$9,"F4"),$P$10:$U$57,5,0)))</f>
        <v>0.10199999999999999</v>
      </c>
      <c r="H16" s="47">
        <v>11</v>
      </c>
      <c r="I16" s="58" t="s">
        <v>130</v>
      </c>
      <c r="J16" s="59"/>
      <c r="K16" s="59"/>
      <c r="L16" s="59"/>
      <c r="M16" s="54">
        <f>M15</f>
        <v>55000</v>
      </c>
      <c r="P16" s="1" t="s">
        <v>63</v>
      </c>
      <c r="Q16" s="3"/>
      <c r="R16" s="3"/>
      <c r="S16" s="3"/>
      <c r="T16" s="2"/>
      <c r="W16" s="5" t="s">
        <v>62</v>
      </c>
      <c r="X16" s="5" t="s">
        <v>49</v>
      </c>
      <c r="Y16" s="5" t="s">
        <v>49</v>
      </c>
    </row>
    <row r="17" spans="2:28" ht="18.75" customHeight="1" x14ac:dyDescent="0.25">
      <c r="B17" s="8">
        <f>IF($O$9="","",IF(ISBLANK(VLOOKUP(CONCATENATE($O$9,"F5"),$P$10:$U$57,2,0)),"",VLOOKUP(CONCATENATE($O$9,"F5"),$P$10:$U$57,2,0)))</f>
        <v>31955.81</v>
      </c>
      <c r="C17" s="8">
        <f>IF($O$9="","",IF(ISBLANK(VLOOKUP(CONCATENATE($O$9,"F5"),$P$10:$U$57,2,0)),"",VLOOKUP(CONCATENATE($O$9,"F5"),$P$10:$U$57,3,0)))</f>
        <v>2851.98</v>
      </c>
      <c r="D17" s="3" t="s">
        <v>61</v>
      </c>
      <c r="E17" s="8">
        <f>IF($O$9="","",IF(ISBLANK(VLOOKUP(CONCATENATE($O$9,"F5"),$P$10:$U$57,2,0)),"",VLOOKUP(CONCATENATE($O$9,"F5"),$P$10:$U$57,4,0)))</f>
        <v>7987.45</v>
      </c>
      <c r="F17" s="7">
        <f>IF($O$9="","",IF(ISBLANK(VLOOKUP(CONCATENATE($O$9,"F5"),$P$10:$U$57,2,0)),"",VLOOKUP(CONCATENATE($O$9,"F5"),$P$10:$U$57,5,0)))</f>
        <v>0.1105</v>
      </c>
      <c r="H17" s="47">
        <v>23</v>
      </c>
      <c r="I17" s="58" t="s">
        <v>131</v>
      </c>
      <c r="J17" s="59"/>
      <c r="K17" s="59"/>
      <c r="L17" s="59"/>
      <c r="M17" s="54">
        <f>M16</f>
        <v>55000</v>
      </c>
      <c r="P17" s="1" t="s">
        <v>60</v>
      </c>
      <c r="Q17" s="3"/>
      <c r="R17" s="3"/>
      <c r="S17" s="3"/>
      <c r="T17" s="2"/>
      <c r="W17" s="5" t="s">
        <v>59</v>
      </c>
      <c r="X17" s="5" t="s">
        <v>49</v>
      </c>
      <c r="Y17" s="5" t="s">
        <v>49</v>
      </c>
    </row>
    <row r="18" spans="2:28" ht="15" x14ac:dyDescent="0.25">
      <c r="B18" s="8">
        <f>IF($O$9="","",IF(ISBLANK(VLOOKUP(CONCATENATE($O$9,"F6"),$P$10:$U$57,2,0)),"",VLOOKUP(CONCATENATE($O$9,"F6"),$P$10:$U$57,2,0)))</f>
        <v>39943.26</v>
      </c>
      <c r="C18" s="8">
        <f>IF($O$9="","",IF(ISBLANK(VLOOKUP(CONCATENATE($O$9,"F6"),$P$10:$U$57,2,0)),"",VLOOKUP(CONCATENATE($O$9,"F6"),$P$10:$U$57,3,0)))</f>
        <v>3734.59</v>
      </c>
      <c r="D18" s="3" t="s">
        <v>58</v>
      </c>
      <c r="E18" s="8">
        <f>IF($O$9="","",IF(ISBLANK(VLOOKUP(CONCATENATE($O$9,"F6"),$P$10:$U$57,2,0)),"",VLOOKUP(CONCATENATE($O$9,"F6"),$P$10:$U$57,4,0)))</f>
        <v>7987.46</v>
      </c>
      <c r="F18" s="7">
        <f>IF($O$9="","",IF(ISBLANK(VLOOKUP(CONCATENATE($O$9,"F6"),$P$10:$U$57,2,0)),"",VLOOKUP(CONCATENATE($O$9,"F6"),$P$10:$U$57,5,0)))</f>
        <v>0.11899999999999999</v>
      </c>
      <c r="H18" s="47">
        <v>27</v>
      </c>
      <c r="I18" s="52" t="s">
        <v>132</v>
      </c>
      <c r="J18" s="53"/>
      <c r="K18" s="53"/>
      <c r="L18" s="53"/>
      <c r="M18" s="54">
        <f>M17</f>
        <v>55000</v>
      </c>
      <c r="P18" s="1" t="s">
        <v>57</v>
      </c>
      <c r="Q18" s="3"/>
      <c r="R18" s="3"/>
      <c r="S18" s="3"/>
      <c r="T18" s="2"/>
      <c r="V18" s="12"/>
      <c r="W18" s="5" t="s">
        <v>56</v>
      </c>
      <c r="X18" s="5" t="s">
        <v>49</v>
      </c>
      <c r="Y18" s="5" t="s">
        <v>49</v>
      </c>
    </row>
    <row r="19" spans="2:28" ht="18.75" customHeight="1" x14ac:dyDescent="0.25">
      <c r="B19" s="8">
        <f>IF($O$9="","",IF(ISBLANK(VLOOKUP(CONCATENATE($O$9,"F7"),$P$10:$U$57,2,0)),"",VLOOKUP(CONCATENATE($O$9,"F7"),$P$10:$U$57,2,0)))</f>
        <v>47930.720000000001</v>
      </c>
      <c r="C19" s="8">
        <f>IF($O$9="","",IF(ISBLANK(VLOOKUP(CONCATENATE($O$9,"F7"),$P$10:$U$57,2,0)),"",VLOOKUP(CONCATENATE($O$9,"F7"),$P$10:$U$57,3,0)))</f>
        <v>4685.1000000000004</v>
      </c>
      <c r="D19" s="3" t="s">
        <v>55</v>
      </c>
      <c r="E19" s="8">
        <f>IF($O$9="","",IF(ISBLANK(VLOOKUP(CONCATENATE($O$9,"F7"),$P$10:$U$57,2,0)),"",VLOOKUP(CONCATENATE($O$9,"F7"),$P$10:$U$57,4,0)))</f>
        <v>7987.45</v>
      </c>
      <c r="F19" s="7">
        <f>IF($O$9="","",IF(ISBLANK(VLOOKUP(CONCATENATE($O$9,"F7"),$P$10:$U$57,2,0)),"",VLOOKUP(CONCATENATE($O$9,"F7"),$P$10:$U$57,5,0)))</f>
        <v>0.1275</v>
      </c>
      <c r="I19" s="48" t="s">
        <v>133</v>
      </c>
      <c r="J19" s="51">
        <f>B10</f>
        <v>47930.720000000001</v>
      </c>
      <c r="K19" s="49"/>
      <c r="L19" s="50"/>
      <c r="M19" s="51">
        <f>C10</f>
        <v>4685.1000000000004</v>
      </c>
      <c r="P19" s="1" t="s">
        <v>54</v>
      </c>
      <c r="Q19" s="3"/>
      <c r="R19" s="3"/>
      <c r="S19" s="3"/>
      <c r="T19" s="2"/>
      <c r="V19" s="12"/>
      <c r="W19" s="5" t="s">
        <v>53</v>
      </c>
      <c r="X19" s="5" t="s">
        <v>49</v>
      </c>
      <c r="Y19" s="5" t="s">
        <v>49</v>
      </c>
    </row>
    <row r="20" spans="2:28" ht="15" x14ac:dyDescent="0.25">
      <c r="B20" s="8">
        <f>IF($O$9="","",IF(ISBLANK(VLOOKUP(CONCATENATE($O$9,"F8"),$P$10:$U$57,2,0)),"",VLOOKUP(CONCATENATE($O$9,"F8"),$P$10:$U$57,2,0)))</f>
        <v>55918.17</v>
      </c>
      <c r="C20" s="8">
        <f>IF($O$9="","",IF(ISBLANK(VLOOKUP(CONCATENATE($O$9,"F8"),$P$10:$U$57,2,0)),"",VLOOKUP(CONCATENATE($O$9,"F8"),$P$10:$U$57,3,0)))</f>
        <v>5703.5</v>
      </c>
      <c r="D20" s="3" t="s">
        <v>52</v>
      </c>
      <c r="E20" s="8">
        <f>IF($O$9="","",IF(ISBLANK(VLOOKUP(CONCATENATE($O$9,"F8"),$P$10:$U$57,2,0)),"",VLOOKUP(CONCATENATE($O$9,"F8"),$P$10:$U$57,4,0)))</f>
        <v>7987.45</v>
      </c>
      <c r="F20" s="7">
        <f>IF($O$9="","",IF(ISBLANK(VLOOKUP(CONCATENATE($O$9,"F8"),$P$10:$U$57,2,0)),"",VLOOKUP(CONCATENATE($O$9,"F8"),$P$10:$U$57,5,0)))</f>
        <v>0.13600000000000001</v>
      </c>
      <c r="I20" s="48" t="s">
        <v>134</v>
      </c>
      <c r="J20" s="51">
        <f>M3</f>
        <v>7069.2799999999988</v>
      </c>
      <c r="K20" s="49" t="s">
        <v>135</v>
      </c>
      <c r="L20" s="63">
        <f>F10</f>
        <v>0.1275</v>
      </c>
      <c r="M20" s="51">
        <f>M4</f>
        <v>901.33319999999992</v>
      </c>
      <c r="P20" s="1" t="s">
        <v>51</v>
      </c>
      <c r="Q20" s="3"/>
      <c r="R20" s="3"/>
      <c r="S20" s="3"/>
      <c r="T20" s="2"/>
      <c r="V20" s="12"/>
      <c r="W20" s="5" t="s">
        <v>50</v>
      </c>
      <c r="X20" s="5" t="s">
        <v>49</v>
      </c>
      <c r="Y20" s="5" t="s">
        <v>49</v>
      </c>
    </row>
    <row r="21" spans="2:28" ht="18.75" customHeight="1" x14ac:dyDescent="0.25">
      <c r="B21" s="8">
        <f>IF($O$9="","",IF(ISBLANK(VLOOKUP(CONCATENATE($O$9,"F9"),$P$10:$U$57,2,0)),"",VLOOKUP(CONCATENATE($O$9,"F9"),$P$10:$U$57,2,0)))</f>
        <v>63905.62</v>
      </c>
      <c r="C21" s="8">
        <f>IF($O$9="","",IF(ISBLANK(VLOOKUP(CONCATENATE($O$9,"F9"),$P$10:$U$57,2,0)),"",VLOOKUP(CONCATENATE($O$9,"F9"),$P$10:$U$57,3,0)))</f>
        <v>6789.79</v>
      </c>
      <c r="D21" s="3" t="s">
        <v>48</v>
      </c>
      <c r="E21" s="8">
        <f>IF($O$9="","",IF(ISBLANK(VLOOKUP(CONCATENATE($O$9,"F9"),$P$10:$U$57,2,0)),"",VLOOKUP(CONCATENATE($O$9,"F9"),$P$10:$U$57,4,0)))</f>
        <v>7987.45</v>
      </c>
      <c r="F21" s="7">
        <f>IF($O$9="","",IF(ISBLANK(VLOOKUP(CONCATENATE($O$9,"F9"),$P$10:$U$57,2,0)),"",VLOOKUP(CONCATENATE($O$9,"F9"),$P$10:$U$57,5,0)))</f>
        <v>0.14449999999999999</v>
      </c>
      <c r="I21" s="56" t="s">
        <v>142</v>
      </c>
      <c r="J21" s="57"/>
      <c r="K21" s="57"/>
      <c r="L21" s="57"/>
      <c r="M21" s="51">
        <f>M5</f>
        <v>5586.4332000000004</v>
      </c>
      <c r="P21" s="1" t="s">
        <v>47</v>
      </c>
      <c r="Q21" s="3"/>
      <c r="R21" s="3"/>
      <c r="S21" s="3"/>
      <c r="T21" s="2"/>
      <c r="U21" s="12"/>
      <c r="V21" s="12"/>
      <c r="W21" s="5" t="s">
        <v>46</v>
      </c>
      <c r="X21" s="5" t="s">
        <v>45</v>
      </c>
      <c r="Y21" s="5" t="s">
        <v>45</v>
      </c>
    </row>
    <row r="22" spans="2:28" ht="18.75" customHeight="1" x14ac:dyDescent="0.25">
      <c r="B22" s="8">
        <f>IF($O$9="","",IF(ISBLANK(VLOOKUP(CONCATENATE($O$9,"F10"),$P$10:$U$57,2,0)),"",VLOOKUP(CONCATENATE($O$9,"F10"),$P$10:$U$57,2,0)))</f>
        <v>71893.070000000007</v>
      </c>
      <c r="C22" s="8">
        <f>IF($O$9="","",IF(ISBLANK(VLOOKUP(CONCATENATE($O$9,"F10"),$P$10:$U$57,2,0)),"",VLOOKUP(CONCATENATE($O$9,"F10"),$P$10:$U$57,3,0)))</f>
        <v>7943.98</v>
      </c>
      <c r="D22" s="3" t="s">
        <v>44</v>
      </c>
      <c r="E22" s="8">
        <f>IF($O$9="","",IF(ISBLANK(VLOOKUP(CONCATENATE($O$9,"F10"),$P$10:$U$57,2,0)),"",VLOOKUP(CONCATENATE($O$9,"F10"),$P$10:$U$57,4,0)))</f>
        <v>7987.45</v>
      </c>
      <c r="F22" s="7">
        <f>IF($O$9="","",IF(ISBLANK(VLOOKUP(CONCATENATE($O$9,"F10"),$P$10:$U$57,2,0)),"",VLOOKUP(CONCATENATE($O$9,"F10"),$P$10:$U$57,5,0)))</f>
        <v>0.153</v>
      </c>
      <c r="H22" s="29">
        <v>30</v>
      </c>
      <c r="I22" s="58" t="s">
        <v>138</v>
      </c>
      <c r="J22" s="59"/>
      <c r="K22" s="59"/>
      <c r="L22" s="59"/>
      <c r="M22" s="54">
        <f>M5</f>
        <v>5586.4332000000004</v>
      </c>
      <c r="P22" s="1" t="s">
        <v>43</v>
      </c>
      <c r="Q22" s="3"/>
      <c r="R22" s="3"/>
      <c r="S22" s="3"/>
      <c r="T22" s="2"/>
      <c r="U22" s="12"/>
      <c r="V22" s="12"/>
      <c r="W22" s="12"/>
      <c r="X22" s="12"/>
      <c r="Y22" s="12"/>
      <c r="Z22" s="12"/>
      <c r="AA22" s="12"/>
      <c r="AB22" s="12"/>
    </row>
    <row r="23" spans="2:28" ht="18.75" customHeight="1" x14ac:dyDescent="0.25">
      <c r="B23" s="8">
        <f>IF($O$9="","",IF(ISBLANK(VLOOKUP(CONCATENATE($O$9,"F11"),$P$10:$U$57,2,0)),"",VLOOKUP(CONCATENATE($O$9,"F11"),$P$10:$U$57,2,0)))</f>
        <v>79880.52</v>
      </c>
      <c r="C23" s="8">
        <f>IF($O$9="","",IF(ISBLANK(VLOOKUP(CONCATENATE($O$9,"F11"),$P$10:$U$57,2,0)),"",VLOOKUP(CONCATENATE($O$9,"F11"),$P$10:$U$57,3,0)))</f>
        <v>9166.06</v>
      </c>
      <c r="D23" s="3" t="s">
        <v>42</v>
      </c>
      <c r="E23" s="8">
        <f>IF($O$9="","",IF(ISBLANK(VLOOKUP(CONCATENATE($O$9,"F11"),$P$10:$U$57,2,0)),"",VLOOKUP(CONCATENATE($O$9,"F11"),$P$10:$U$57,4,0)))</f>
        <v>39877.15</v>
      </c>
      <c r="F23" s="7">
        <f>IF($O$9="","",IF(ISBLANK(VLOOKUP(CONCATENATE($O$9,"F11"),$P$10:$U$57,2,0)),"",VLOOKUP(CONCATENATE($O$9,"F11"),$P$10:$U$57,5,0)))</f>
        <v>0.1615</v>
      </c>
      <c r="H23" s="29">
        <v>31</v>
      </c>
      <c r="I23" s="52" t="s">
        <v>139</v>
      </c>
      <c r="J23" s="53"/>
      <c r="K23" s="53"/>
      <c r="L23" s="53"/>
      <c r="M23" s="55">
        <f>E7</f>
        <v>1.5882000000000001</v>
      </c>
      <c r="P23" s="1" t="s">
        <v>41</v>
      </c>
      <c r="Q23" s="3"/>
      <c r="R23" s="3"/>
      <c r="S23" s="3"/>
      <c r="T23" s="2"/>
      <c r="U23" s="12"/>
      <c r="V23" s="12"/>
      <c r="W23" s="12"/>
      <c r="X23" s="12"/>
      <c r="Y23" s="12"/>
      <c r="Z23" s="12"/>
      <c r="AA23" s="12"/>
      <c r="AB23" s="12"/>
    </row>
    <row r="24" spans="2:28" ht="18.75" customHeight="1" x14ac:dyDescent="0.25">
      <c r="B24" s="8">
        <f>IF($O$9="","",IF(ISBLANK(VLOOKUP(CONCATENATE($O$9,"F12"),$P$10:$U$57,2,0)),"",VLOOKUP(CONCATENATE($O$9,"F12"),$P$10:$U$57,2,0)))</f>
        <v>119757.67</v>
      </c>
      <c r="C24" s="8">
        <f>IF($O$9="","",IF(ISBLANK(VLOOKUP(CONCATENATE($O$9,"F12"),$P$10:$U$57,2,0)),"",VLOOKUP(CONCATENATE($O$9,"F12"),$P$10:$U$57,3,0)))</f>
        <v>15606.22</v>
      </c>
      <c r="D24" s="3" t="s">
        <v>40</v>
      </c>
      <c r="E24" s="8">
        <f>IF($O$9="","",IF(ISBLANK(VLOOKUP(CONCATENATE($O$9,"F12"),$P$10:$U$57,2,0)),"",VLOOKUP(CONCATENATE($O$9,"F12"),$P$10:$U$57,4,0)))</f>
        <v>39877.160000000003</v>
      </c>
      <c r="F24" s="7">
        <f>IF($O$9="","",IF(ISBLANK(VLOOKUP(CONCATENATE($O$9,"F12"),$P$10:$U$57,2,0)),"",VLOOKUP(CONCATENATE($O$9,"F12"),$P$10:$U$57,5,0)))</f>
        <v>0.187</v>
      </c>
      <c r="H24" s="29">
        <v>32</v>
      </c>
      <c r="I24" s="52" t="s">
        <v>140</v>
      </c>
      <c r="J24" s="53"/>
      <c r="K24" s="53"/>
      <c r="L24" s="53"/>
      <c r="M24" s="54">
        <f>M6</f>
        <v>8872.3732082400002</v>
      </c>
      <c r="P24" s="1" t="s">
        <v>39</v>
      </c>
      <c r="Q24" s="3"/>
      <c r="R24" s="3"/>
      <c r="S24" s="3"/>
      <c r="T24" s="2"/>
      <c r="U24" s="12"/>
      <c r="V24" s="12"/>
      <c r="W24" s="12"/>
      <c r="X24" s="12"/>
      <c r="Y24" s="12"/>
      <c r="Z24" s="12"/>
      <c r="AA24" s="12"/>
      <c r="AB24" s="12"/>
    </row>
    <row r="25" spans="2:28" ht="18.75" customHeight="1" x14ac:dyDescent="0.25">
      <c r="B25" s="8">
        <f>IF($O$9="","",IF(ISBLANK(VLOOKUP(CONCATENATE($O$9,"F13"),$P$10:$U$57,2,0)),"",VLOOKUP(CONCATENATE($O$9,"F13"),$P$10:$U$57,2,0)))</f>
        <v>159634.82999999999</v>
      </c>
      <c r="C25" s="8">
        <f>IF($O$9="","",IF(ISBLANK(VLOOKUP(CONCATENATE($O$9,"F13"),$P$10:$U$57,2,0)),"",VLOOKUP(CONCATENATE($O$9,"F13"),$P$10:$U$57,3,0)))</f>
        <v>23063.25</v>
      </c>
      <c r="D25" s="3" t="s">
        <v>38</v>
      </c>
      <c r="E25" s="8">
        <f>IF($O$9="","",IF(ISBLANK(VLOOKUP(CONCATENATE($O$9,"F13"),$P$10:$U$57,2,0)),"",VLOOKUP(CONCATENATE($O$9,"F13"),$P$10:$U$57,4,0)))</f>
        <v>79754.3</v>
      </c>
      <c r="F25" s="7">
        <f>IF($O$9="","",IF(ISBLANK(VLOOKUP(CONCATENATE($O$9,"F13"),$P$10:$U$57,2,0)),"",VLOOKUP(CONCATENATE($O$9,"F13"),$P$10:$U$57,5,0)))</f>
        <v>0.21249999999999999</v>
      </c>
      <c r="H25" s="29">
        <v>38</v>
      </c>
      <c r="I25" s="58" t="s">
        <v>141</v>
      </c>
      <c r="J25" s="59"/>
      <c r="K25" s="59"/>
      <c r="L25" s="59"/>
      <c r="M25" s="54">
        <f>I7</f>
        <v>8872.3732082400002</v>
      </c>
      <c r="P25" s="1" t="s">
        <v>37</v>
      </c>
      <c r="Q25" s="3"/>
      <c r="R25" s="3"/>
      <c r="S25" s="3"/>
      <c r="T25" s="2"/>
      <c r="U25" s="12"/>
      <c r="V25" s="12"/>
      <c r="W25" s="12"/>
      <c r="X25" s="12"/>
      <c r="Y25" s="12"/>
      <c r="Z25" s="12"/>
      <c r="AA25" s="12"/>
      <c r="AB25" s="12"/>
    </row>
    <row r="26" spans="2:28" ht="18.75" customHeight="1" x14ac:dyDescent="0.25">
      <c r="B26" s="8">
        <f>IF($O$9="","",IF(ISBLANK(VLOOKUP(CONCATENATE($O$9,"F14"),$P$10:$U$57,2,0)),"",VLOOKUP(CONCATENATE($O$9,"F14"),$P$10:$U$57,2,0)))</f>
        <v>239389.13</v>
      </c>
      <c r="C26" s="8">
        <f>IF($O$9="","",IF(ISBLANK(VLOOKUP(CONCATENATE($O$9,"F14"),$P$10:$U$57,2,0)),"",VLOOKUP(CONCATENATE($O$9,"F14"),$P$10:$U$57,3,0)))</f>
        <v>40011.040000000001</v>
      </c>
      <c r="D26" s="3" t="s">
        <v>36</v>
      </c>
      <c r="E26" s="8">
        <f>IF($O$9="","",IF(ISBLANK(VLOOKUP(CONCATENATE($O$9,"F14"),$P$10:$U$57,2,0)),"",VLOOKUP(CONCATENATE($O$9,"F14"),$P$10:$U$57,4,0)))</f>
        <v>159388.41</v>
      </c>
      <c r="F26" s="7">
        <f>IF($O$9="","",IF(ISBLANK(VLOOKUP(CONCATENATE($O$9,"F14"),$P$10:$U$57,2,0)),"",VLOOKUP(CONCATENATE($O$9,"F14"),$P$10:$U$57,5,0)))</f>
        <v>0.255</v>
      </c>
      <c r="P26" s="6" t="s">
        <v>35</v>
      </c>
      <c r="Q26" s="8">
        <v>0</v>
      </c>
      <c r="R26" s="8">
        <v>0</v>
      </c>
      <c r="S26" s="8">
        <v>200000</v>
      </c>
      <c r="T26" s="7">
        <v>0.05</v>
      </c>
      <c r="U26" s="6">
        <v>0.05</v>
      </c>
      <c r="V26" s="12"/>
      <c r="X26" s="12"/>
      <c r="Y26" s="12"/>
      <c r="Z26" s="12"/>
      <c r="AA26" s="12"/>
      <c r="AB26" s="12"/>
    </row>
    <row r="27" spans="2:28" ht="18.75" customHeight="1" x14ac:dyDescent="0.25">
      <c r="B27" s="8">
        <f>IF($O$9="","",IF(ISBLANK(VLOOKUP(CONCATENATE($O$9,"F15"),$P$10:$U$57,2,0)),"",VLOOKUP(CONCATENATE($O$9,"F15"),$P$10:$U$57,2,0)))</f>
        <v>398777.54</v>
      </c>
      <c r="C27" s="8">
        <f>IF($O$9="","",IF(ISBLANK(VLOOKUP(CONCATENATE($O$9,"F15"),$P$10:$U$57,2,0)),"",VLOOKUP(CONCATENATE($O$9,"F15"),$P$10:$U$57,3,0)))</f>
        <v>80655.08</v>
      </c>
      <c r="D27" s="3" t="s">
        <v>34</v>
      </c>
      <c r="E27" s="8">
        <f>IF($O$9="","",IF(ISBLANK(VLOOKUP(CONCATENATE($O$9,"F15"),$P$10:$U$57,2,0)),"",VLOOKUP(CONCATENATE($O$9,"F15"),$P$10:$U$57,4,0)))</f>
        <v>398777.54</v>
      </c>
      <c r="F27" s="7">
        <f>IF($O$9="","",IF(ISBLANK(VLOOKUP(CONCATENATE($O$9,"F15"),$P$10:$U$57,2,0)),"",VLOOKUP(CONCATENATE($O$9,"F15"),$P$10:$U$57,5,0)))</f>
        <v>0.29749999999999999</v>
      </c>
      <c r="P27" s="6" t="s">
        <v>33</v>
      </c>
      <c r="Q27" s="8">
        <v>200000</v>
      </c>
      <c r="R27" s="8">
        <v>10000</v>
      </c>
      <c r="S27" s="8">
        <v>400000</v>
      </c>
      <c r="T27" s="7">
        <v>7.0000000000000007E-2</v>
      </c>
      <c r="U27" s="6">
        <v>7.0000000000000007E-2</v>
      </c>
      <c r="V27" s="12"/>
      <c r="X27" s="12"/>
      <c r="Y27" s="12"/>
      <c r="Z27" s="12"/>
      <c r="AA27" s="12"/>
      <c r="AB27" s="12"/>
    </row>
    <row r="28" spans="2:28" ht="18.75" customHeight="1" x14ac:dyDescent="0.25">
      <c r="B28" s="8">
        <f>IF($O$9="","",IF(ISBLANK(VLOOKUP(CONCATENATE($O$9,"F16"),$P$10:$U$57,2,0)),"",VLOOKUP(CONCATENATE($O$9,"F16"),$P$10:$U$57,2,0)))</f>
        <v>797555.08</v>
      </c>
      <c r="C28" s="8">
        <f>IF($O$9="","",IF(ISBLANK(VLOOKUP(CONCATENATE($O$9,"F16"),$P$10:$U$57,2,0)),"",VLOOKUP(CONCATENATE($O$9,"F16"),$P$10:$U$57,3,0)))</f>
        <v>199291.4</v>
      </c>
      <c r="D28" s="3" t="s">
        <v>32</v>
      </c>
      <c r="E28" s="8" t="str">
        <f>IF($O$9="","",IF(ISBLANK(VLOOKUP(CONCATENATE($O$9,"F16"),$P$10:$U$57,2,0)),"",VLOOKUP(CONCATENATE($O$9,"F16"),$P$10:$U$57,4,0)))</f>
        <v>En adelante</v>
      </c>
      <c r="F28" s="7">
        <f>IF($O$9="","",IF(ISBLANK(VLOOKUP(CONCATENATE($O$9,"F16"),$P$10:$U$57,2,0)),"",VLOOKUP(CONCATENATE($O$9,"F16"),$P$10:$U$57,5,0)))</f>
        <v>0.34</v>
      </c>
      <c r="P28" s="6" t="s">
        <v>31</v>
      </c>
      <c r="Q28" s="8">
        <v>600000</v>
      </c>
      <c r="R28" s="8">
        <v>38000</v>
      </c>
      <c r="S28" s="8" t="s">
        <v>0</v>
      </c>
      <c r="T28" s="7">
        <v>0.09</v>
      </c>
      <c r="U28" s="10" t="s">
        <v>30</v>
      </c>
      <c r="V28" s="12"/>
      <c r="W28" s="12"/>
      <c r="X28" s="12"/>
      <c r="Y28" s="12"/>
      <c r="Z28" s="12"/>
      <c r="AA28" s="12"/>
      <c r="AB28" s="11"/>
    </row>
    <row r="29" spans="2:28" ht="18.75" customHeight="1" x14ac:dyDescent="0.25">
      <c r="P29" s="6" t="s">
        <v>29</v>
      </c>
      <c r="Q29" s="8"/>
      <c r="R29" s="8"/>
      <c r="S29" s="8"/>
      <c r="T29" s="7"/>
      <c r="U29" s="10"/>
      <c r="V29" s="12"/>
      <c r="W29" s="12"/>
      <c r="X29" s="12"/>
      <c r="Y29" s="12"/>
      <c r="Z29" s="12"/>
      <c r="AA29" s="12"/>
      <c r="AB29" s="11"/>
    </row>
    <row r="30" spans="2:28" ht="18.75" customHeight="1" x14ac:dyDescent="0.25">
      <c r="P30" s="6" t="s">
        <v>28</v>
      </c>
      <c r="Q30" s="8"/>
      <c r="R30" s="8"/>
      <c r="S30" s="8"/>
      <c r="T30" s="7"/>
      <c r="U30" s="10"/>
    </row>
    <row r="31" spans="2:28" ht="18.75" customHeight="1" x14ac:dyDescent="0.25">
      <c r="P31" s="6" t="s">
        <v>27</v>
      </c>
      <c r="Q31" s="8"/>
      <c r="R31" s="8"/>
      <c r="S31" s="8"/>
      <c r="T31" s="7"/>
      <c r="U31" s="6"/>
    </row>
    <row r="32" spans="2:28" ht="18.75" customHeight="1" x14ac:dyDescent="0.25">
      <c r="P32" s="6" t="s">
        <v>26</v>
      </c>
      <c r="Q32" s="8"/>
      <c r="R32" s="8"/>
      <c r="S32" s="8"/>
      <c r="T32" s="7"/>
      <c r="U32" s="6"/>
    </row>
    <row r="33" spans="15:21" ht="18.75" customHeight="1" x14ac:dyDescent="0.25">
      <c r="P33" s="6" t="s">
        <v>25</v>
      </c>
      <c r="Q33" s="8"/>
      <c r="R33" s="8"/>
      <c r="S33" s="8"/>
      <c r="T33" s="7"/>
      <c r="U33" s="6"/>
    </row>
    <row r="34" spans="15:21" ht="18.75" customHeight="1" x14ac:dyDescent="0.25">
      <c r="P34" s="6" t="s">
        <v>24</v>
      </c>
      <c r="Q34" s="8"/>
      <c r="R34" s="8"/>
      <c r="S34" s="8"/>
      <c r="T34" s="7"/>
      <c r="U34" s="6"/>
    </row>
    <row r="35" spans="15:21" ht="18.75" customHeight="1" x14ac:dyDescent="0.25">
      <c r="P35" s="6" t="s">
        <v>23</v>
      </c>
      <c r="Q35" s="8"/>
      <c r="R35" s="8"/>
      <c r="S35" s="8"/>
      <c r="T35" s="7"/>
      <c r="U35" s="6"/>
    </row>
    <row r="36" spans="15:21" ht="18.75" customHeight="1" x14ac:dyDescent="0.25">
      <c r="P36" s="6" t="s">
        <v>22</v>
      </c>
      <c r="Q36" s="8"/>
      <c r="R36" s="8"/>
      <c r="S36" s="8"/>
      <c r="T36" s="7"/>
      <c r="U36" s="6"/>
    </row>
    <row r="37" spans="15:21" ht="18.75" customHeight="1" x14ac:dyDescent="0.25">
      <c r="P37" s="6" t="s">
        <v>21</v>
      </c>
      <c r="Q37" s="8"/>
      <c r="R37" s="8"/>
      <c r="S37" s="8"/>
      <c r="T37" s="7"/>
      <c r="U37" s="6"/>
    </row>
    <row r="38" spans="15:21" ht="18.75" customHeight="1" x14ac:dyDescent="0.25">
      <c r="P38" s="6" t="s">
        <v>20</v>
      </c>
      <c r="Q38" s="8"/>
      <c r="R38" s="8"/>
      <c r="S38" s="8"/>
      <c r="T38" s="7"/>
      <c r="U38" s="6"/>
    </row>
    <row r="39" spans="15:21" ht="18.75" customHeight="1" x14ac:dyDescent="0.25">
      <c r="O39" s="5"/>
      <c r="P39" s="6" t="s">
        <v>19</v>
      </c>
      <c r="Q39" s="9"/>
      <c r="R39" s="8"/>
      <c r="S39" s="8"/>
      <c r="T39" s="7"/>
      <c r="U39" s="6"/>
    </row>
    <row r="40" spans="15:21" ht="18.75" customHeight="1" x14ac:dyDescent="0.25">
      <c r="O40" s="5"/>
      <c r="P40" s="6" t="s">
        <v>18</v>
      </c>
      <c r="Q40" s="9"/>
      <c r="R40" s="8"/>
      <c r="S40" s="8"/>
      <c r="T40" s="7"/>
      <c r="U40" s="6"/>
    </row>
    <row r="41" spans="15:21" ht="18.75" customHeight="1" x14ac:dyDescent="0.25">
      <c r="O41" s="5"/>
      <c r="P41" s="6" t="s">
        <v>17</v>
      </c>
      <c r="Q41" s="9"/>
      <c r="R41" s="8"/>
      <c r="S41" s="8"/>
      <c r="T41" s="7"/>
      <c r="U41" s="6"/>
    </row>
    <row r="42" spans="15:21" ht="18.75" customHeight="1" x14ac:dyDescent="0.25">
      <c r="O42" s="5"/>
      <c r="P42" s="1" t="s">
        <v>16</v>
      </c>
      <c r="Q42" s="4">
        <v>0</v>
      </c>
      <c r="R42" s="3">
        <v>0</v>
      </c>
      <c r="S42" s="3">
        <v>7993.46</v>
      </c>
      <c r="T42" s="2">
        <v>7.6499999999999999E-2</v>
      </c>
    </row>
    <row r="43" spans="15:21" ht="18.75" customHeight="1" x14ac:dyDescent="0.25">
      <c r="O43" s="5"/>
      <c r="P43" s="1" t="s">
        <v>15</v>
      </c>
      <c r="Q43" s="4">
        <v>7993.46</v>
      </c>
      <c r="R43" s="3">
        <v>611.5</v>
      </c>
      <c r="S43" s="3">
        <v>7987.45</v>
      </c>
      <c r="T43" s="2">
        <v>8.5000000000000006E-2</v>
      </c>
    </row>
    <row r="44" spans="15:21" ht="18.75" customHeight="1" x14ac:dyDescent="0.25">
      <c r="P44" s="1" t="s">
        <v>14</v>
      </c>
      <c r="Q44" s="3">
        <v>15980.91</v>
      </c>
      <c r="R44" s="3">
        <v>1290.43</v>
      </c>
      <c r="S44" s="3">
        <v>7987.45</v>
      </c>
      <c r="T44" s="2">
        <v>9.35E-2</v>
      </c>
    </row>
    <row r="45" spans="15:21" ht="18.75" customHeight="1" x14ac:dyDescent="0.25">
      <c r="P45" s="1" t="s">
        <v>13</v>
      </c>
      <c r="Q45" s="3">
        <v>23968.36</v>
      </c>
      <c r="R45" s="3">
        <v>2037.26</v>
      </c>
      <c r="S45" s="3">
        <v>7987.45</v>
      </c>
      <c r="T45" s="2">
        <v>0.10199999999999999</v>
      </c>
    </row>
    <row r="46" spans="15:21" ht="18.75" customHeight="1" x14ac:dyDescent="0.25">
      <c r="P46" s="1" t="s">
        <v>12</v>
      </c>
      <c r="Q46" s="3">
        <v>31955.81</v>
      </c>
      <c r="R46" s="3">
        <v>2851.98</v>
      </c>
      <c r="S46" s="3">
        <v>7987.45</v>
      </c>
      <c r="T46" s="2">
        <v>0.1105</v>
      </c>
    </row>
    <row r="47" spans="15:21" ht="18.75" customHeight="1" x14ac:dyDescent="0.25">
      <c r="P47" s="1" t="s">
        <v>11</v>
      </c>
      <c r="Q47" s="3">
        <v>39943.26</v>
      </c>
      <c r="R47" s="3">
        <v>3734.59</v>
      </c>
      <c r="S47" s="3">
        <v>7987.46</v>
      </c>
      <c r="T47" s="2">
        <v>0.11899999999999999</v>
      </c>
    </row>
    <row r="48" spans="15:21" ht="18.75" customHeight="1" x14ac:dyDescent="0.25">
      <c r="P48" s="1" t="s">
        <v>10</v>
      </c>
      <c r="Q48" s="3">
        <v>47930.720000000001</v>
      </c>
      <c r="R48" s="3">
        <v>4685.1000000000004</v>
      </c>
      <c r="S48" s="3">
        <v>7987.45</v>
      </c>
      <c r="T48" s="2">
        <v>0.1275</v>
      </c>
    </row>
    <row r="49" spans="16:20" ht="18.75" customHeight="1" x14ac:dyDescent="0.25">
      <c r="P49" s="1" t="s">
        <v>9</v>
      </c>
      <c r="Q49" s="3">
        <v>55918.17</v>
      </c>
      <c r="R49" s="3">
        <v>5703.5</v>
      </c>
      <c r="S49" s="3">
        <v>7987.45</v>
      </c>
      <c r="T49" s="2">
        <v>0.13600000000000001</v>
      </c>
    </row>
    <row r="50" spans="16:20" ht="18.75" customHeight="1" x14ac:dyDescent="0.25">
      <c r="P50" s="1" t="s">
        <v>8</v>
      </c>
      <c r="Q50" s="3">
        <v>63905.62</v>
      </c>
      <c r="R50" s="3">
        <v>6789.79</v>
      </c>
      <c r="S50" s="3">
        <v>7987.45</v>
      </c>
      <c r="T50" s="2">
        <v>0.14449999999999999</v>
      </c>
    </row>
    <row r="51" spans="16:20" ht="18.75" customHeight="1" x14ac:dyDescent="0.25">
      <c r="P51" s="1" t="s">
        <v>7</v>
      </c>
      <c r="Q51" s="3">
        <v>71893.070000000007</v>
      </c>
      <c r="R51" s="3">
        <v>7943.98</v>
      </c>
      <c r="S51" s="3">
        <v>7987.45</v>
      </c>
      <c r="T51" s="2">
        <v>0.153</v>
      </c>
    </row>
    <row r="52" spans="16:20" ht="18.75" customHeight="1" x14ac:dyDescent="0.25">
      <c r="P52" s="1" t="s">
        <v>6</v>
      </c>
      <c r="Q52" s="3">
        <v>79880.52</v>
      </c>
      <c r="R52" s="3">
        <v>9166.06</v>
      </c>
      <c r="S52" s="3">
        <v>39877.15</v>
      </c>
      <c r="T52" s="2">
        <v>0.1615</v>
      </c>
    </row>
    <row r="53" spans="16:20" ht="18.75" customHeight="1" x14ac:dyDescent="0.25">
      <c r="P53" s="1" t="s">
        <v>5</v>
      </c>
      <c r="Q53" s="3">
        <v>119757.67</v>
      </c>
      <c r="R53" s="3">
        <v>15606.22</v>
      </c>
      <c r="S53" s="3">
        <v>39877.160000000003</v>
      </c>
      <c r="T53" s="2">
        <v>0.187</v>
      </c>
    </row>
    <row r="54" spans="16:20" ht="18.75" customHeight="1" x14ac:dyDescent="0.25">
      <c r="P54" s="1" t="s">
        <v>4</v>
      </c>
      <c r="Q54" s="3">
        <v>159634.82999999999</v>
      </c>
      <c r="R54" s="3">
        <v>23063.25</v>
      </c>
      <c r="S54" s="3">
        <v>79754.3</v>
      </c>
      <c r="T54" s="2">
        <v>0.21249999999999999</v>
      </c>
    </row>
    <row r="55" spans="16:20" ht="18.75" customHeight="1" x14ac:dyDescent="0.25">
      <c r="P55" s="1" t="s">
        <v>3</v>
      </c>
      <c r="Q55" s="3">
        <v>239389.13</v>
      </c>
      <c r="R55" s="3">
        <v>40011.040000000001</v>
      </c>
      <c r="S55" s="3">
        <v>159388.41</v>
      </c>
      <c r="T55" s="2">
        <v>0.255</v>
      </c>
    </row>
    <row r="56" spans="16:20" ht="18.75" customHeight="1" x14ac:dyDescent="0.25">
      <c r="P56" s="1" t="s">
        <v>2</v>
      </c>
      <c r="Q56" s="3">
        <v>398777.54</v>
      </c>
      <c r="R56" s="3">
        <v>80655.08</v>
      </c>
      <c r="S56" s="3">
        <v>398777.54</v>
      </c>
      <c r="T56" s="2">
        <v>0.29749999999999999</v>
      </c>
    </row>
    <row r="57" spans="16:20" ht="18.75" customHeight="1" x14ac:dyDescent="0.25">
      <c r="P57" s="1" t="s">
        <v>1</v>
      </c>
      <c r="Q57" s="3">
        <v>797555.08</v>
      </c>
      <c r="R57" s="3">
        <v>199291.4</v>
      </c>
      <c r="S57" s="3" t="s">
        <v>0</v>
      </c>
      <c r="T57" s="2">
        <v>0.34</v>
      </c>
    </row>
  </sheetData>
  <sheetProtection sheet="1" selectLockedCells="1"/>
  <mergeCells count="19">
    <mergeCell ref="I22:L22"/>
    <mergeCell ref="I23:L23"/>
    <mergeCell ref="I24:L24"/>
    <mergeCell ref="I25:L25"/>
    <mergeCell ref="I15:L15"/>
    <mergeCell ref="I16:L16"/>
    <mergeCell ref="I17:L17"/>
    <mergeCell ref="I18:L18"/>
    <mergeCell ref="I21:L21"/>
    <mergeCell ref="Q2:T2"/>
    <mergeCell ref="I2:L2"/>
    <mergeCell ref="I3:L3"/>
    <mergeCell ref="I4:L4"/>
    <mergeCell ref="I5:L5"/>
    <mergeCell ref="I6:L6"/>
    <mergeCell ref="I7:L7"/>
    <mergeCell ref="I9:M9"/>
    <mergeCell ref="I10:M12"/>
    <mergeCell ref="I14:M14"/>
  </mergeCells>
  <conditionalFormatting sqref="B13:C28 E13:F28">
    <cfRule type="expression" dxfId="12" priority="13">
      <formula>IF($D13=$O$10,TRUE,FALSE)</formula>
    </cfRule>
  </conditionalFormatting>
  <conditionalFormatting sqref="E5">
    <cfRule type="expression" dxfId="11" priority="12">
      <formula>IF($C$5=$O$5,FALSE,TRUE)</formula>
    </cfRule>
  </conditionalFormatting>
  <conditionalFormatting sqref="B2 E2 B4:C4 E4 B6:C6 E6">
    <cfRule type="expression" dxfId="10" priority="11">
      <formula>IF($C$7="GRUPO III",TRUE,FALSE)</formula>
    </cfRule>
  </conditionalFormatting>
  <conditionalFormatting sqref="B2 E2 B4:C4 E4 B6:C6 E6">
    <cfRule type="expression" dxfId="9" priority="10">
      <formula>IF($C$7="GRUPO IV",TRUE,FALSE)</formula>
    </cfRule>
  </conditionalFormatting>
  <conditionalFormatting sqref="C7:E7">
    <cfRule type="expression" dxfId="8" priority="8">
      <formula>IF($C$7="GRUPO IV",TRUE,FALSE)</formula>
    </cfRule>
    <cfRule type="expression" dxfId="7" priority="9">
      <formula>IF($C$7="GRUPO III",TRUE,FALSE)</formula>
    </cfRule>
  </conditionalFormatting>
  <conditionalFormatting sqref="M7 I2 M2">
    <cfRule type="expression" dxfId="6" priority="6">
      <formula>IF($C$7="GRUPO IV",TRUE,FALSE)</formula>
    </cfRule>
    <cfRule type="expression" dxfId="5" priority="7">
      <formula>IF($C$7="GRUPO III",TRUE,FALSE)</formula>
    </cfRule>
  </conditionalFormatting>
  <conditionalFormatting sqref="M3:M6">
    <cfRule type="expression" dxfId="4" priority="4">
      <formula>IF($C$7="GRUPO IV",TRUE,FALSE)</formula>
    </cfRule>
    <cfRule type="expression" dxfId="3" priority="5">
      <formula>IF($C$7="GRUPO III",TRUE,FALSE)</formula>
    </cfRule>
  </conditionalFormatting>
  <conditionalFormatting sqref="I7">
    <cfRule type="expression" dxfId="2" priority="2">
      <formula>IF($C$7="GRUPO IV",TRUE,FALSE)</formula>
    </cfRule>
    <cfRule type="expression" dxfId="1" priority="3">
      <formula>IF($C$7="GRUPO III",TRUE,FALSE)</formula>
    </cfRule>
  </conditionalFormatting>
  <conditionalFormatting sqref="H14:M25">
    <cfRule type="expression" dxfId="0" priority="1">
      <formula>IF($C$5=$O$5,FALSE,TRUE)</formula>
    </cfRule>
  </conditionalFormatting>
  <dataValidations count="4">
    <dataValidation type="list" showInputMessage="1" showErrorMessage="1" errorTitle="Parentesco no encontrado" error="Por favor, seleccione un parentesco de la lista desplegable" sqref="B7" xr:uid="{00000000-0002-0000-0000-000000000000}">
      <formula1>$W$3:$W$21</formula1>
    </dataValidation>
    <dataValidation type="list" allowBlank="1" showInputMessage="1" showErrorMessage="1" sqref="E5" xr:uid="{00000000-0002-0000-0000-000001000000}">
      <formula1>$P$4:$P$5</formula1>
    </dataValidation>
    <dataValidation type="list" allowBlank="1" showInputMessage="1" showErrorMessage="1" sqref="E3" xr:uid="{00000000-0002-0000-0000-000002000000}">
      <formula1>$Q$4:$Q$7</formula1>
    </dataValidation>
    <dataValidation type="list" allowBlank="1" showInputMessage="1" showErrorMessage="1" sqref="C5" xr:uid="{00000000-0002-0000-0000-000003000000}">
      <formula1>$O$4:$O$6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CUOTAS</vt:lpstr>
    </vt:vector>
  </TitlesOfParts>
  <Company>Consellería de Facenda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Gómez López, Diego</dc:creator>
  <cp:lastModifiedBy>LyD</cp:lastModifiedBy>
  <dcterms:created xsi:type="dcterms:W3CDTF">2021-11-25T09:59:37Z</dcterms:created>
  <dcterms:modified xsi:type="dcterms:W3CDTF">2021-11-27T11:04:12Z</dcterms:modified>
</cp:coreProperties>
</file>